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Assumptions" sheetId="2" state="visible" r:id="rId4"/>
    <sheet name="Projection" sheetId="3" state="visible" r:id="rId5"/>
  </sheets>
  <definedNames>
    <definedName function="false" hidden="false" localSheetId="2" name="_xlnm.Print_Titles" vbProcedure="false">Projection!$4:$4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<sst xmlns="http://schemas.openxmlformats.org/spreadsheetml/2006/main" count="77" uniqueCount="68">
  <si>
    <t xml:space="preserve">3-YEAR PROFIT &amp; LOSS PROJECTION</t>
  </si>
  <si>
    <t xml:space="preserve">Forecast revenue, costs and profit for the next three years - a starting point for the projections lenders ask for.</t>
  </si>
  <si>
    <t xml:space="preserve">HOW TO USE IT</t>
  </si>
  <si>
    <t xml:space="preserve">1. Assumptions: fill in the yellow cells - starting revenue, growth, cost percentages and fixed monthly costs.</t>
  </si>
  <si>
    <t xml:space="preserve">2. Projection: year 1 month by month, then years 1, 2 and 3 side by side. Nothing to type there.</t>
  </si>
  <si>
    <t xml:space="preserve">3. Look at the first profitable month and the break-even revenue - they tell you how long your cash needs to last.</t>
  </si>
  <si>
    <t xml:space="preserve">4. Try a cautious version too: lower growth, higher costs. If the business only works in the best case, that's worth knowing.</t>
  </si>
  <si>
    <t xml:space="preserve">HOW IT'S BUILT</t>
  </si>
  <si>
    <t xml:space="preserve">Revenue - cost of goods = gross profit. Gross profit - operating expenses = operating profit. Then interest, depreciation and tax give net profit. Year 1 is monthly because the SBA recommends monthly or quarterly detail for the first year.</t>
  </si>
  <si>
    <t xml:space="preserve">SHOWING IT TO A LENDER</t>
  </si>
  <si>
    <t xml:space="preserve">- Explain each assumption: where the starting revenue comes from, why growth is what it is.</t>
  </si>
  <si>
    <t xml:space="preserve">- Match the projection to the money you're asking for and what it will be spent on.</t>
  </si>
  <si>
    <t xml:space="preserve">- Lenders usually also want a cash flow projection and a balance sheet. The balance sheet template is on katalaga.com/tools.</t>
  </si>
  <si>
    <t xml:space="preserve">- The SBA suggests a five-year financial outlook - extend this one if you're applying for an SBA-backed loan.</t>
  </si>
  <si>
    <t xml:space="preserve">GOOGLE SHEETS</t>
  </si>
  <si>
    <t xml:space="preserve">Upload to Google Drive &gt; right-click &gt; Open with &gt; Google Sheets &gt; File &gt; Save as Google Sheets. Everything carries over.</t>
  </si>
  <si>
    <t xml:space="preserve">A planning tool, not financial advice. Sample assumptions are illustrative - replace them with your own.</t>
  </si>
  <si>
    <t xml:space="preserve">Free template from katalaga.com/tools</t>
  </si>
  <si>
    <t xml:space="preserve">ASSUMPTIONS</t>
  </si>
  <si>
    <t xml:space="preserve">Every number in the projection comes from this page. Change a yellow cell and everything updates.</t>
  </si>
  <si>
    <t xml:space="preserve">Timing</t>
  </si>
  <si>
    <t xml:space="preserve">First year of the projection</t>
  </si>
  <si>
    <t xml:space="preserve">Revenue</t>
  </si>
  <si>
    <t xml:space="preserve">Revenue in month 1</t>
  </si>
  <si>
    <t xml:space="preserve">Your best realistic estimate - not the hopeful one.</t>
  </si>
  <si>
    <t xml:space="preserve">Monthly growth in year 1</t>
  </si>
  <si>
    <t xml:space="preserve">How much revenue grows each month in year 1.</t>
  </si>
  <si>
    <t xml:space="preserve">Growth in year 2 (vs year 1)</t>
  </si>
  <si>
    <t xml:space="preserve">Growth in year 3 (vs year 2)</t>
  </si>
  <si>
    <t xml:space="preserve">Costs that move with sales</t>
  </si>
  <si>
    <t xml:space="preserve">Cost of goods / delivery (% of revenue)</t>
  </si>
  <si>
    <t xml:space="preserve">Materials, stock, direct labour, payment fees.</t>
  </si>
  <si>
    <t xml:space="preserve">Marketing (% of revenue)</t>
  </si>
  <si>
    <t xml:space="preserve">Fixed monthly costs in year 1</t>
  </si>
  <si>
    <t xml:space="preserve">Rent</t>
  </si>
  <si>
    <t xml:space="preserve">Wages and salaries (incl. payroll taxes)</t>
  </si>
  <si>
    <t xml:space="preserve">Software and subscriptions</t>
  </si>
  <si>
    <t xml:space="preserve">Insurance</t>
  </si>
  <si>
    <t xml:space="preserve">Utilities, phone and internet</t>
  </si>
  <si>
    <t xml:space="preserve">Accounting and legal</t>
  </si>
  <si>
    <t xml:space="preserve">Other expenses</t>
  </si>
  <si>
    <t xml:space="preserve">Yearly increase in fixed costs</t>
  </si>
  <si>
    <t xml:space="preserve">Rent rises, pay rises - applied in years 2 and 3.</t>
  </si>
  <si>
    <t xml:space="preserve">Below the line</t>
  </si>
  <si>
    <t xml:space="preserve">Loan interest per year</t>
  </si>
  <si>
    <t xml:space="preserve">Depreciation per year</t>
  </si>
  <si>
    <t xml:space="preserve">From your equipment. Not a cash cost, but it's in the P&amp;L.</t>
  </si>
  <si>
    <t xml:space="preserve">Income tax rate (estimate)</t>
  </si>
  <si>
    <t xml:space="preserve">Use your own rate. Applied only to profit, never to a loss.</t>
  </si>
  <si>
    <t xml:space="preserve">REVENUE</t>
  </si>
  <si>
    <t xml:space="preserve">Cost of goods / delivery</t>
  </si>
  <si>
    <t xml:space="preserve">Gross profit</t>
  </si>
  <si>
    <t xml:space="preserve">Gross margin</t>
  </si>
  <si>
    <t xml:space="preserve">OPERATING EXPENSES</t>
  </si>
  <si>
    <t xml:space="preserve">Marketing</t>
  </si>
  <si>
    <t xml:space="preserve">Total operating expenses</t>
  </si>
  <si>
    <t xml:space="preserve">Operating profit</t>
  </si>
  <si>
    <t xml:space="preserve">BELOW THE LINE</t>
  </si>
  <si>
    <t xml:space="preserve">Loan interest</t>
  </si>
  <si>
    <t xml:space="preserve">Depreciation</t>
  </si>
  <si>
    <t xml:space="preserve">Profit before tax</t>
  </si>
  <si>
    <t xml:space="preserve">Income tax (estimate)</t>
  </si>
  <si>
    <t xml:space="preserve">NET PROFIT</t>
  </si>
  <si>
    <t xml:space="preserve">Net margin</t>
  </si>
  <si>
    <t xml:space="preserve">First profitable month (operating profit)</t>
  </si>
  <si>
    <t xml:space="preserve">Break-even revenue per month (year 1 costs)</t>
  </si>
  <si>
    <t xml:space="preserve">Fixed costs / (1 - cost of goods % - marketing %). Excludes interest and depreciation.</t>
  </si>
  <si>
    <t xml:space="preserve">Tax is worked out on the whole year's profit; the monthly figures are that tax spread evenly, for cash planning. Losses aren't carried forward to reduce later years' tax here - in many countries, including the US, they can be, so later tax may be lower. A projection is a set of assumptions, not a promise - explain them when you show it to a lender.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</si>
</sst>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.00;[RED]\-#,##0.00;\-"/>
    <numFmt numFmtId="167" formatCode="0.0%"/>
    <numFmt numFmtId="168" formatCode="0.0%;[RED]\-0.0%;\-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9"/>
      <name val="Arial"/>
      <family val="0"/>
      <charset val="1"/>
    </font>
    <font>
      <sz val="11"/>
      <color rgb="FF595959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2E7D6B"/>
      <name val="Arial"/>
      <family val="0"/>
      <charset val="1"/>
    </font>
    <font>
      <i val="true"/>
      <sz val="9"/>
      <color rgb="FF595959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b val="true"/>
      <sz val="10"/>
      <color rgb="FF2E7D6B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4"/>
      <color rgb="FF1F4E7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EAF1F8"/>
      </patternFill>
    </fill>
    <fill>
      <patternFill patternType="solid">
        <fgColor rgb="FF1F4E79"/>
        <bgColor rgb="FF003366"/>
      </patternFill>
    </fill>
    <fill>
      <patternFill patternType="solid">
        <fgColor rgb="FF2E7D6B"/>
        <bgColor rgb="FF008080"/>
      </patternFill>
    </fill>
    <fill>
      <patternFill patternType="solid">
        <fgColor rgb="FFEAF1F8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4" fillId="3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14" fillId="4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b val="1"/>
        <color rgb="FFC00000"/>
      </font>
    </dxf>
    <dxf>
      <font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9C9"/>
      <rgbColor rgb="FF878787"/>
      <rgbColor rgb="FF9999FF"/>
      <rgbColor rgb="FF993366"/>
      <rgbColor rgb="FFFFF2CC"/>
      <rgbColor rgb="FFEAF1F8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2E7D6B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Revenue and net profit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"Revenue"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c9c9c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Projection!$N$4:$P$4</c:f>
              <c:multiLvlStrCache>
                <c:ptCount val="1"/>
                <c:lvl>
                  <c:pt idx="0">
                    <c:v>Year 3 (2029)</c:v>
                  </c:pt>
                </c:lvl>
                <c:lvl>
                  <c:pt idx="0">
                    <c:v>Year 2 (2028)</c:v>
                  </c:pt>
                </c:lvl>
                <c:lvl>
                  <c:pt idx="0">
                    <c:v>Year 1 (2027)</c:v>
                  </c:pt>
                </c:lvl>
              </c:multiLvlStrCache>
            </c:multiLvlStrRef>
          </c:cat>
          <c:val>
            <c:numRef>
              <c:f>Projection!$N$6:$P$6</c:f>
              <c:numCache>
                <c:formatCode>#,##0.00;[RED]\-#,##0.00;\-</c:formatCode>
                <c:ptCount val="3"/>
                <c:pt idx="0">
                  <c:v>120206.443713536</c:v>
                </c:pt>
                <c:pt idx="1">
                  <c:v>150258.05464192</c:v>
                </c:pt>
                <c:pt idx="2">
                  <c:v>180309.665570304</c:v>
                </c:pt>
              </c:numCache>
            </c:numRef>
          </c:val>
        </c:ser>
        <c:ser>
          <c:idx val="1"/>
          <c:order val="1"/>
          <c:tx>
            <c:strRef>
              <c:f>"Net profit"</c:f>
              <c:strCache>
                <c:ptCount val="1"/>
                <c:pt idx="0">
                  <c:v>Net profit</c:v>
                </c:pt>
              </c:strCache>
            </c:strRef>
          </c:tx>
          <c:spPr>
            <a:solidFill>
              <a:srgbClr val="2e7d6b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Projection!$N$4:$P$4</c:f>
              <c:multiLvlStrCache>
                <c:ptCount val="1"/>
                <c:lvl>
                  <c:pt idx="0">
                    <c:v>Year 3 (2029)</c:v>
                  </c:pt>
                </c:lvl>
                <c:lvl>
                  <c:pt idx="0">
                    <c:v>Year 2 (2028)</c:v>
                  </c:pt>
                </c:lvl>
                <c:lvl>
                  <c:pt idx="0">
                    <c:v>Year 1 (2027)</c:v>
                  </c:pt>
                </c:lvl>
              </c:multiLvlStrCache>
            </c:multiLvlStrRef>
          </c:cat>
          <c:val>
            <c:numRef>
              <c:f>Projection!$N$26:$P$26</c:f>
              <c:numCache>
                <c:formatCode>#,##0.00;[RED]\-#,##0.00;\-</c:formatCode>
                <c:ptCount val="3"/>
                <c:pt idx="0">
                  <c:v>-8282.32708328438</c:v>
                </c:pt>
                <c:pt idx="1">
                  <c:v>4121.50200525669</c:v>
                </c:pt>
                <c:pt idx="2">
                  <c:v>14642.657406308</c:v>
                </c:pt>
              </c:numCache>
            </c:numRef>
          </c:val>
        </c:ser>
        <c:gapWidth val="150"/>
        <c:overlap val="0"/>
        <c:axId val="73352845"/>
        <c:axId val="86578043"/>
      </c:barChart>
      <c:catAx>
        <c:axId val="7335284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6578043"/>
        <c:crosses val="autoZero"/>
        <c:auto val="1"/>
        <c:lblAlgn val="ctr"/>
        <c:lblOffset val="100"/>
        <c:noMultiLvlLbl val="0"/>
      </c:catAx>
      <c:valAx>
        <c:axId val="8657804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;[RED]\-#,##0.0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335284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32</xdr:row>
      <xdr:rowOff>160920</xdr:rowOff>
    </xdr:from>
    <xdr:to>
      <xdr:col>4</xdr:col>
      <xdr:colOff>398880</xdr:colOff>
      <xdr:row>47</xdr:row>
      <xdr:rowOff>2880</xdr:rowOff>
    </xdr:to>
    <xdr:graphicFrame>
      <xdr:nvGraphicFramePr>
        <xdr:cNvPr id="0" name="Chart 1"/>
        <xdr:cNvGraphicFramePr/>
      </xdr:nvGraphicFramePr>
      <xdr:xfrm>
        <a:off x="0" y="6477120"/>
        <a:ext cx="575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katalaga.com/tools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D6B"/>
    <pageSetUpPr fitToPage="false"/>
  </sheetPr>
  <dimension ref="B2:B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/>
    </row>
    <row r="11" customFormat="false" ht="15" hidden="false" customHeight="false" outlineLevel="0" collapsed="false">
      <c r="B11" s="4" t="s">
        <v>7</v>
      </c>
    </row>
    <row r="12" customFormat="false" ht="23.8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3"/>
    </row>
    <row r="14" customFormat="false" ht="15" hidden="false" customHeight="false" outlineLevel="0" collapsed="false">
      <c r="B14" s="4" t="s">
        <v>9</v>
      </c>
    </row>
    <row r="15" customFormat="false" ht="15" hidden="false" customHeight="false" outlineLevel="0" collapsed="false">
      <c r="B15" s="3" t="s">
        <v>10</v>
      </c>
    </row>
    <row r="16" customFormat="false" ht="15" hidden="false" customHeight="false" outlineLevel="0" collapsed="false">
      <c r="B16" s="3" t="s">
        <v>11</v>
      </c>
    </row>
    <row r="17" customFormat="false" ht="15" hidden="false" customHeight="false" outlineLevel="0" collapsed="false">
      <c r="B17" s="3" t="s">
        <v>12</v>
      </c>
    </row>
    <row r="18" customFormat="false" ht="15" hidden="false" customHeight="false" outlineLevel="0" collapsed="false">
      <c r="B18" s="3" t="s">
        <v>13</v>
      </c>
    </row>
    <row r="19" customFormat="false" ht="15" hidden="false" customHeight="false" outlineLevel="0" collapsed="false">
      <c r="B19" s="3"/>
    </row>
    <row r="20" customFormat="false" ht="15" hidden="false" customHeight="false" outlineLevel="0" collapsed="false">
      <c r="B20" s="4" t="s">
        <v>14</v>
      </c>
    </row>
    <row r="21" customFormat="false" ht="15" hidden="false" customHeight="false" outlineLevel="0" collapsed="false">
      <c r="B21" s="3" t="s">
        <v>15</v>
      </c>
    </row>
    <row r="22" customFormat="false" ht="15" hidden="false" customHeight="false" outlineLevel="0" collapsed="false">
      <c r="B22" s="3"/>
    </row>
    <row r="23" customFormat="false" ht="15" hidden="false" customHeight="false" outlineLevel="0" collapsed="false">
      <c r="B23" s="5" t="s">
        <v>16</v>
      </c>
    </row>
    <row r="24" customFormat="false" ht="15" hidden="false" customHeight="false" outlineLevel="0" collapsed="false">
      <c r="B24" s="6" t="s">
        <v>17</v>
      </c>
    </row>
  </sheetData>
  <hyperlinks>
    <hyperlink ref="B24" r:id="rId1" display="Free template from katalaga.com/tool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9"/>
    <pageSetUpPr fitToPage="false"/>
  </sheetPr>
  <dimension ref="B1:F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5" min="3" style="0" width="15"/>
    <col collapsed="false" customWidth="true" hidden="false" outlineLevel="0" max="6" min="6" style="0" width="56"/>
  </cols>
  <sheetData>
    <row r="1" customFormat="false" ht="19.7" hidden="false" customHeight="false" outlineLevel="0" collapsed="false">
      <c r="B1" s="7" t="s">
        <v>18</v>
      </c>
    </row>
    <row r="2" customFormat="false" ht="15" hidden="false" customHeight="false" outlineLevel="0" collapsed="false">
      <c r="B2" s="8" t="s">
        <v>19</v>
      </c>
    </row>
    <row r="4" customFormat="false" ht="15" hidden="false" customHeight="false" outlineLevel="0" collapsed="false">
      <c r="B4" s="9" t="s">
        <v>20</v>
      </c>
    </row>
    <row r="5" customFormat="false" ht="15" hidden="false" customHeight="false" outlineLevel="0" collapsed="false">
      <c r="B5" s="10" t="s">
        <v>21</v>
      </c>
      <c r="C5" s="11" t="n">
        <v>2027</v>
      </c>
    </row>
    <row r="7" customFormat="false" ht="15" hidden="false" customHeight="false" outlineLevel="0" collapsed="false">
      <c r="B7" s="9" t="s">
        <v>22</v>
      </c>
    </row>
    <row r="8" customFormat="false" ht="15" hidden="false" customHeight="false" outlineLevel="0" collapsed="false">
      <c r="B8" s="10" t="s">
        <v>23</v>
      </c>
      <c r="C8" s="12" t="n">
        <v>8000</v>
      </c>
      <c r="F8" s="13" t="s">
        <v>24</v>
      </c>
    </row>
    <row r="9" customFormat="false" ht="15" hidden="false" customHeight="false" outlineLevel="0" collapsed="false">
      <c r="B9" s="10" t="s">
        <v>25</v>
      </c>
      <c r="C9" s="14" t="n">
        <v>0.04</v>
      </c>
      <c r="F9" s="13" t="s">
        <v>26</v>
      </c>
    </row>
    <row r="10" customFormat="false" ht="15" hidden="false" customHeight="false" outlineLevel="0" collapsed="false">
      <c r="B10" s="10" t="s">
        <v>27</v>
      </c>
      <c r="C10" s="14" t="n">
        <v>0.25</v>
      </c>
    </row>
    <row r="11" customFormat="false" ht="15" hidden="false" customHeight="false" outlineLevel="0" collapsed="false">
      <c r="B11" s="10" t="s">
        <v>28</v>
      </c>
      <c r="C11" s="14" t="n">
        <v>0.2</v>
      </c>
    </row>
    <row r="13" customFormat="false" ht="15" hidden="false" customHeight="false" outlineLevel="0" collapsed="false">
      <c r="B13" s="9" t="s">
        <v>29</v>
      </c>
    </row>
    <row r="14" customFormat="false" ht="15" hidden="false" customHeight="false" outlineLevel="0" collapsed="false">
      <c r="B14" s="10" t="s">
        <v>30</v>
      </c>
      <c r="C14" s="14" t="n">
        <v>0.35</v>
      </c>
      <c r="F14" s="13" t="s">
        <v>31</v>
      </c>
    </row>
    <row r="15" customFormat="false" ht="15" hidden="false" customHeight="false" outlineLevel="0" collapsed="false">
      <c r="B15" s="10" t="s">
        <v>32</v>
      </c>
      <c r="C15" s="14" t="n">
        <v>0.08</v>
      </c>
    </row>
    <row r="17" customFormat="false" ht="15" hidden="false" customHeight="false" outlineLevel="0" collapsed="false">
      <c r="B17" s="9" t="s">
        <v>33</v>
      </c>
    </row>
    <row r="18" customFormat="false" ht="15" hidden="false" customHeight="false" outlineLevel="0" collapsed="false">
      <c r="B18" s="10" t="s">
        <v>34</v>
      </c>
      <c r="C18" s="12" t="n">
        <v>1500</v>
      </c>
    </row>
    <row r="19" customFormat="false" ht="15" hidden="false" customHeight="false" outlineLevel="0" collapsed="false">
      <c r="B19" s="10" t="s">
        <v>35</v>
      </c>
      <c r="C19" s="12" t="n">
        <v>3200</v>
      </c>
    </row>
    <row r="20" customFormat="false" ht="15" hidden="false" customHeight="false" outlineLevel="0" collapsed="false">
      <c r="B20" s="10" t="s">
        <v>36</v>
      </c>
      <c r="C20" s="12" t="n">
        <v>250</v>
      </c>
    </row>
    <row r="21" customFormat="false" ht="15" hidden="false" customHeight="false" outlineLevel="0" collapsed="false">
      <c r="B21" s="10" t="s">
        <v>37</v>
      </c>
      <c r="C21" s="12" t="n">
        <v>180</v>
      </c>
    </row>
    <row r="22" customFormat="false" ht="15" hidden="false" customHeight="false" outlineLevel="0" collapsed="false">
      <c r="B22" s="10" t="s">
        <v>38</v>
      </c>
      <c r="C22" s="12" t="n">
        <v>220</v>
      </c>
    </row>
    <row r="23" customFormat="false" ht="15" hidden="false" customHeight="false" outlineLevel="0" collapsed="false">
      <c r="B23" s="10" t="s">
        <v>39</v>
      </c>
      <c r="C23" s="12" t="n">
        <v>300</v>
      </c>
    </row>
    <row r="24" customFormat="false" ht="15" hidden="false" customHeight="false" outlineLevel="0" collapsed="false">
      <c r="B24" s="10" t="s">
        <v>40</v>
      </c>
      <c r="C24" s="12" t="n">
        <v>400</v>
      </c>
    </row>
    <row r="25" customFormat="false" ht="15" hidden="false" customHeight="false" outlineLevel="0" collapsed="false">
      <c r="B25" s="10" t="s">
        <v>41</v>
      </c>
      <c r="C25" s="14" t="n">
        <v>0.05</v>
      </c>
      <c r="F25" s="13" t="s">
        <v>42</v>
      </c>
    </row>
    <row r="27" customFormat="false" ht="15" hidden="false" customHeight="false" outlineLevel="0" collapsed="false">
      <c r="B27" s="9" t="s">
        <v>43</v>
      </c>
    </row>
    <row r="28" customFormat="false" ht="15" hidden="false" customHeight="false" outlineLevel="0" collapsed="false">
      <c r="B28" s="10" t="s">
        <v>44</v>
      </c>
      <c r="C28" s="12" t="n">
        <v>1800</v>
      </c>
    </row>
    <row r="29" customFormat="false" ht="15" hidden="false" customHeight="false" outlineLevel="0" collapsed="false">
      <c r="B29" s="10" t="s">
        <v>45</v>
      </c>
      <c r="C29" s="12" t="n">
        <v>2400</v>
      </c>
      <c r="F29" s="13" t="s">
        <v>46</v>
      </c>
    </row>
    <row r="30" customFormat="false" ht="15" hidden="false" customHeight="false" outlineLevel="0" collapsed="false">
      <c r="B30" s="10" t="s">
        <v>47</v>
      </c>
      <c r="C30" s="14" t="n">
        <v>0.21</v>
      </c>
      <c r="F30" s="13" t="s">
        <v>48</v>
      </c>
    </row>
  </sheetData>
  <dataValidations count="4">
    <dataValidation allowBlank="true" error="Enter a number of 0 or more, without currency symbols." errorStyle="stop" errorTitle="Check the number" operator="greaterThanOrEqual" showDropDown="false" showErrorMessage="true" showInputMessage="false" sqref="C5:C8 C12:C31" type="decimal">
      <formula1>0</formula1>
      <formula2>0</formula2>
    </dataValidation>
    <dataValidation allowBlank="true" error="Enter a number of -1 or more, without currency symbols." errorStyle="stop" errorTitle="Check the number" operator="greaterThanOrEqual" showDropDown="false" showErrorMessage="true" showInputMessage="false" sqref="C9" type="decimal">
      <formula1>-1</formula1>
      <formula2>0</formula2>
    </dataValidation>
    <dataValidation allowBlank="true" error="Enter a number of -1 or more, without currency symbols." errorStyle="stop" errorTitle="Check the number" operator="greaterThanOrEqual" showDropDown="false" showErrorMessage="true" showInputMessage="false" sqref="C10" type="decimal">
      <formula1>-1</formula1>
      <formula2>0</formula2>
    </dataValidation>
    <dataValidation allowBlank="true" error="Enter a number of -1 or more, without currency symbols." errorStyle="stop" errorTitle="Check the number" operator="greaterThanOrEqual" showDropDown="false" showErrorMessage="true" showInputMessage="false" sqref="C11" type="decimal">
      <formula1>-1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9"/>
    <pageSetUpPr fitToPage="true"/>
  </sheetPr>
  <dimension ref="A1:P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7" min="2" style="0" width="11"/>
  </cols>
  <sheetData>
    <row r="1" customFormat="false" ht="17.35" hidden="false" customHeight="false" outlineLevel="0" collapsed="false">
      <c r="A1" s="15" t="s">
        <v>0</v>
      </c>
    </row>
    <row r="2" customFormat="false" ht="15" hidden="false" customHeight="false" outlineLevel="0" collapsed="false">
      <c r="A2" s="8" t="str">
        <f aca="false">"Year 1 by month, then three full years, starting "&amp;Assumptions!$C$5</f>
        <v>Year 1 by month, then three full years, starting 2027</v>
      </c>
    </row>
    <row r="4" customFormat="false" ht="30" hidden="false" customHeight="true" outlineLevel="0" collapsed="false">
      <c r="A4" s="16"/>
      <c r="B4" s="17" t="str">
        <f aca="false">TEXT(DATE(Assumptions!$C$5,1,1),"mmm yy")</f>
        <v>Jan 27</v>
      </c>
      <c r="C4" s="17" t="str">
        <f aca="false">TEXT(DATE(Assumptions!$C$5,2,1),"mmm yy")</f>
        <v>Feb 27</v>
      </c>
      <c r="D4" s="17" t="str">
        <f aca="false">TEXT(DATE(Assumptions!$C$5,3,1),"mmm yy")</f>
        <v>Mar 27</v>
      </c>
      <c r="E4" s="17" t="str">
        <f aca="false">TEXT(DATE(Assumptions!$C$5,4,1),"mmm yy")</f>
        <v>Apr 27</v>
      </c>
      <c r="F4" s="17" t="str">
        <f aca="false">TEXT(DATE(Assumptions!$C$5,5,1),"mmm yy")</f>
        <v>May 27</v>
      </c>
      <c r="G4" s="17" t="str">
        <f aca="false">TEXT(DATE(Assumptions!$C$5,6,1),"mmm yy")</f>
        <v>Jun 27</v>
      </c>
      <c r="H4" s="17" t="str">
        <f aca="false">TEXT(DATE(Assumptions!$C$5,7,1),"mmm yy")</f>
        <v>Jul 27</v>
      </c>
      <c r="I4" s="17" t="str">
        <f aca="false">TEXT(DATE(Assumptions!$C$5,8,1),"mmm yy")</f>
        <v>Aug 27</v>
      </c>
      <c r="J4" s="17" t="str">
        <f aca="false">TEXT(DATE(Assumptions!$C$5,9,1),"mmm yy")</f>
        <v>Sep 27</v>
      </c>
      <c r="K4" s="17" t="str">
        <f aca="false">TEXT(DATE(Assumptions!$C$5,10,1),"mmm yy")</f>
        <v>Oct 27</v>
      </c>
      <c r="L4" s="17" t="str">
        <f aca="false">TEXT(DATE(Assumptions!$C$5,11,1),"mmm yy")</f>
        <v>Nov 27</v>
      </c>
      <c r="M4" s="17" t="str">
        <f aca="false">TEXT(DATE(Assumptions!$C$5,12,1),"mmm yy")</f>
        <v>Dec 27</v>
      </c>
      <c r="N4" s="18" t="str">
        <f aca="false">"Year 1 ("&amp;(Assumptions!$C$5+0)&amp;")"</f>
        <v>Year 1 (2027)</v>
      </c>
      <c r="O4" s="18" t="str">
        <f aca="false">"Year 2 ("&amp;(Assumptions!$C$5+1)&amp;")"</f>
        <v>Year 2 (2028)</v>
      </c>
      <c r="P4" s="18" t="str">
        <f aca="false">"Year 3 ("&amp;(Assumptions!$C$5+2)&amp;")"</f>
        <v>Year 3 (2029)</v>
      </c>
    </row>
    <row r="5" customFormat="false" ht="15" hidden="false" customHeight="false" outlineLevel="0" collapsed="false">
      <c r="A5" s="9" t="s">
        <v>49</v>
      </c>
    </row>
    <row r="6" customFormat="false" ht="15" hidden="false" customHeight="false" outlineLevel="0" collapsed="false">
      <c r="A6" s="19" t="s">
        <v>22</v>
      </c>
      <c r="B6" s="20" t="n">
        <f aca="false">Assumptions!$C$8*(1+Assumptions!$C$9)^0</f>
        <v>8000</v>
      </c>
      <c r="C6" s="20" t="n">
        <f aca="false">Assumptions!$C$8*(1+Assumptions!$C$9)^1</f>
        <v>8320</v>
      </c>
      <c r="D6" s="20" t="n">
        <f aca="false">Assumptions!$C$8*(1+Assumptions!$C$9)^2</f>
        <v>8652.8</v>
      </c>
      <c r="E6" s="20" t="n">
        <f aca="false">Assumptions!$C$8*(1+Assumptions!$C$9)^3</f>
        <v>8998.912</v>
      </c>
      <c r="F6" s="20" t="n">
        <f aca="false">Assumptions!$C$8*(1+Assumptions!$C$9)^4</f>
        <v>9358.86848</v>
      </c>
      <c r="G6" s="20" t="n">
        <f aca="false">Assumptions!$C$8*(1+Assumptions!$C$9)^5</f>
        <v>9733.2232192</v>
      </c>
      <c r="H6" s="20" t="n">
        <f aca="false">Assumptions!$C$8*(1+Assumptions!$C$9)^6</f>
        <v>10122.552147968</v>
      </c>
      <c r="I6" s="20" t="n">
        <f aca="false">Assumptions!$C$8*(1+Assumptions!$C$9)^7</f>
        <v>10527.4542338867</v>
      </c>
      <c r="J6" s="20" t="n">
        <f aca="false">Assumptions!$C$8*(1+Assumptions!$C$9)^8</f>
        <v>10948.5524032422</v>
      </c>
      <c r="K6" s="20" t="n">
        <f aca="false">Assumptions!$C$8*(1+Assumptions!$C$9)^9</f>
        <v>11386.4944993719</v>
      </c>
      <c r="L6" s="20" t="n">
        <f aca="false">Assumptions!$C$8*(1+Assumptions!$C$9)^10</f>
        <v>11841.9542793468</v>
      </c>
      <c r="M6" s="20" t="n">
        <f aca="false">Assumptions!$C$8*(1+Assumptions!$C$9)^11</f>
        <v>12315.6324505206</v>
      </c>
      <c r="N6" s="20" t="n">
        <f aca="false">SUM(B6:M6)</f>
        <v>120206.443713536</v>
      </c>
      <c r="O6" s="20" t="n">
        <f aca="false">N6*(1+Assumptions!$C$10)</f>
        <v>150258.05464192</v>
      </c>
      <c r="P6" s="20" t="n">
        <f aca="false">O6*(1+Assumptions!$C$11)</f>
        <v>180309.665570304</v>
      </c>
    </row>
    <row r="7" customFormat="false" ht="15" hidden="false" customHeight="false" outlineLevel="0" collapsed="false">
      <c r="A7" s="10" t="s">
        <v>50</v>
      </c>
      <c r="B7" s="21" t="n">
        <f aca="false">B6*Assumptions!$C$14</f>
        <v>2800</v>
      </c>
      <c r="C7" s="21" t="n">
        <f aca="false">C6*Assumptions!$C$14</f>
        <v>2912</v>
      </c>
      <c r="D7" s="21" t="n">
        <f aca="false">D6*Assumptions!$C$14</f>
        <v>3028.48</v>
      </c>
      <c r="E7" s="21" t="n">
        <f aca="false">E6*Assumptions!$C$14</f>
        <v>3149.6192</v>
      </c>
      <c r="F7" s="21" t="n">
        <f aca="false">F6*Assumptions!$C$14</f>
        <v>3275.603968</v>
      </c>
      <c r="G7" s="21" t="n">
        <f aca="false">G6*Assumptions!$C$14</f>
        <v>3406.62812672</v>
      </c>
      <c r="H7" s="21" t="n">
        <f aca="false">H6*Assumptions!$C$14</f>
        <v>3542.8932517888</v>
      </c>
      <c r="I7" s="21" t="n">
        <f aca="false">I6*Assumptions!$C$14</f>
        <v>3684.60898186035</v>
      </c>
      <c r="J7" s="21" t="n">
        <f aca="false">J6*Assumptions!$C$14</f>
        <v>3831.99334113477</v>
      </c>
      <c r="K7" s="21" t="n">
        <f aca="false">K6*Assumptions!$C$14</f>
        <v>3985.27307478016</v>
      </c>
      <c r="L7" s="21" t="n">
        <f aca="false">L6*Assumptions!$C$14</f>
        <v>4144.68399777136</v>
      </c>
      <c r="M7" s="21" t="n">
        <f aca="false">M6*Assumptions!$C$14</f>
        <v>4310.47135768222</v>
      </c>
      <c r="N7" s="21" t="n">
        <f aca="false">SUM(B7:M7)</f>
        <v>42072.2552997377</v>
      </c>
      <c r="O7" s="21" t="n">
        <f aca="false">O6*Assumptions!$C$14</f>
        <v>52590.3191246721</v>
      </c>
      <c r="P7" s="21" t="n">
        <f aca="false">P6*Assumptions!$C$14</f>
        <v>63108.3829496065</v>
      </c>
    </row>
    <row r="8" customFormat="false" ht="15" hidden="false" customHeight="false" outlineLevel="0" collapsed="false">
      <c r="A8" s="19" t="s">
        <v>51</v>
      </c>
      <c r="B8" s="20" t="n">
        <f aca="false">B6-B7</f>
        <v>5200</v>
      </c>
      <c r="C8" s="20" t="n">
        <f aca="false">C6-C7</f>
        <v>5408</v>
      </c>
      <c r="D8" s="20" t="n">
        <f aca="false">D6-D7</f>
        <v>5624.32</v>
      </c>
      <c r="E8" s="20" t="n">
        <f aca="false">E6-E7</f>
        <v>5849.2928</v>
      </c>
      <c r="F8" s="20" t="n">
        <f aca="false">F6-F7</f>
        <v>6083.264512</v>
      </c>
      <c r="G8" s="20" t="n">
        <f aca="false">G6-G7</f>
        <v>6326.59509248</v>
      </c>
      <c r="H8" s="20" t="n">
        <f aca="false">H6-H7</f>
        <v>6579.6588961792</v>
      </c>
      <c r="I8" s="20" t="n">
        <f aca="false">I6-I7</f>
        <v>6842.84525202637</v>
      </c>
      <c r="J8" s="20" t="n">
        <f aca="false">J6-J7</f>
        <v>7116.55906210742</v>
      </c>
      <c r="K8" s="20" t="n">
        <f aca="false">K6-K7</f>
        <v>7401.22142459172</v>
      </c>
      <c r="L8" s="20" t="n">
        <f aca="false">L6-L7</f>
        <v>7697.27028157539</v>
      </c>
      <c r="M8" s="20" t="n">
        <f aca="false">M6-M7</f>
        <v>8005.16109283841</v>
      </c>
      <c r="N8" s="20" t="n">
        <f aca="false">SUM(B8:M8)</f>
        <v>78134.1884137985</v>
      </c>
      <c r="O8" s="20" t="n">
        <f aca="false">O6-O7</f>
        <v>97667.7355172482</v>
      </c>
      <c r="P8" s="20" t="n">
        <f aca="false">P6-P7</f>
        <v>117201.282620698</v>
      </c>
    </row>
    <row r="9" customFormat="false" ht="15" hidden="false" customHeight="false" outlineLevel="0" collapsed="false">
      <c r="A9" s="10" t="s">
        <v>52</v>
      </c>
      <c r="B9" s="22" t="n">
        <f aca="false">IF(B6=0,0,B8/B6)</f>
        <v>0.65</v>
      </c>
      <c r="C9" s="22" t="n">
        <f aca="false">IF(C6=0,0,C8/C6)</f>
        <v>0.65</v>
      </c>
      <c r="D9" s="22" t="n">
        <f aca="false">IF(D6=0,0,D8/D6)</f>
        <v>0.65</v>
      </c>
      <c r="E9" s="22" t="n">
        <f aca="false">IF(E6=0,0,E8/E6)</f>
        <v>0.65</v>
      </c>
      <c r="F9" s="22" t="n">
        <f aca="false">IF(F6=0,0,F8/F6)</f>
        <v>0.65</v>
      </c>
      <c r="G9" s="22" t="n">
        <f aca="false">IF(G6=0,0,G8/G6)</f>
        <v>0.65</v>
      </c>
      <c r="H9" s="22" t="n">
        <f aca="false">IF(H6=0,0,H8/H6)</f>
        <v>0.65</v>
      </c>
      <c r="I9" s="22" t="n">
        <f aca="false">IF(I6=0,0,I8/I6)</f>
        <v>0.65</v>
      </c>
      <c r="J9" s="22" t="n">
        <f aca="false">IF(J6=0,0,J8/J6)</f>
        <v>0.65</v>
      </c>
      <c r="K9" s="22" t="n">
        <f aca="false">IF(K6=0,0,K8/K6)</f>
        <v>0.65</v>
      </c>
      <c r="L9" s="22" t="n">
        <f aca="false">IF(L6=0,0,L8/L6)</f>
        <v>0.65</v>
      </c>
      <c r="M9" s="22" t="n">
        <f aca="false">IF(M6=0,0,M8/M6)</f>
        <v>0.65</v>
      </c>
      <c r="N9" s="22" t="n">
        <f aca="false">IF(N6=0,0,N8/N6)</f>
        <v>0.65</v>
      </c>
      <c r="O9" s="22" t="n">
        <f aca="false">IF(O6=0,0,O8/O6)</f>
        <v>0.65</v>
      </c>
      <c r="P9" s="22" t="n">
        <f aca="false">IF(P6=0,0,P8/P6)</f>
        <v>0.65</v>
      </c>
    </row>
    <row r="10" customFormat="false" ht="15" hidden="false" customHeight="false" outlineLevel="0" collapsed="false">
      <c r="A10" s="9" t="s">
        <v>53</v>
      </c>
    </row>
    <row r="11" customFormat="false" ht="15" hidden="false" customHeight="false" outlineLevel="0" collapsed="false">
      <c r="A11" s="10" t="s">
        <v>54</v>
      </c>
      <c r="B11" s="21" t="n">
        <f aca="false">B6*Assumptions!$C$15</f>
        <v>640</v>
      </c>
      <c r="C11" s="21" t="n">
        <f aca="false">C6*Assumptions!$C$15</f>
        <v>665.6</v>
      </c>
      <c r="D11" s="21" t="n">
        <f aca="false">D6*Assumptions!$C$15</f>
        <v>692.224</v>
      </c>
      <c r="E11" s="21" t="n">
        <f aca="false">E6*Assumptions!$C$15</f>
        <v>719.91296</v>
      </c>
      <c r="F11" s="21" t="n">
        <f aca="false">F6*Assumptions!$C$15</f>
        <v>748.7094784</v>
      </c>
      <c r="G11" s="21" t="n">
        <f aca="false">G6*Assumptions!$C$15</f>
        <v>778.657857536</v>
      </c>
      <c r="H11" s="21" t="n">
        <f aca="false">H6*Assumptions!$C$15</f>
        <v>809.80417183744</v>
      </c>
      <c r="I11" s="21" t="n">
        <f aca="false">I6*Assumptions!$C$15</f>
        <v>842.196338710938</v>
      </c>
      <c r="J11" s="21" t="n">
        <f aca="false">J6*Assumptions!$C$15</f>
        <v>875.884192259375</v>
      </c>
      <c r="K11" s="21" t="n">
        <f aca="false">K6*Assumptions!$C$15</f>
        <v>910.919559949751</v>
      </c>
      <c r="L11" s="21" t="n">
        <f aca="false">L6*Assumptions!$C$15</f>
        <v>947.356342347741</v>
      </c>
      <c r="M11" s="21" t="n">
        <f aca="false">M6*Assumptions!$C$15</f>
        <v>985.25059604165</v>
      </c>
      <c r="N11" s="21" t="n">
        <f aca="false">SUM(B11:M11)</f>
        <v>9616.5154970829</v>
      </c>
      <c r="O11" s="21" t="n">
        <f aca="false">O6*Assumptions!$C$15</f>
        <v>12020.6443713536</v>
      </c>
      <c r="P11" s="21" t="n">
        <f aca="false">P6*Assumptions!$C$15</f>
        <v>14424.7732456243</v>
      </c>
    </row>
    <row r="12" customFormat="false" ht="15" hidden="false" customHeight="false" outlineLevel="0" collapsed="false">
      <c r="A12" s="10" t="s">
        <v>34</v>
      </c>
      <c r="B12" s="21" t="n">
        <f aca="false">Assumptions!$C$18</f>
        <v>1500</v>
      </c>
      <c r="C12" s="21" t="n">
        <f aca="false">Assumptions!$C$18</f>
        <v>1500</v>
      </c>
      <c r="D12" s="21" t="n">
        <f aca="false">Assumptions!$C$18</f>
        <v>1500</v>
      </c>
      <c r="E12" s="21" t="n">
        <f aca="false">Assumptions!$C$18</f>
        <v>1500</v>
      </c>
      <c r="F12" s="21" t="n">
        <f aca="false">Assumptions!$C$18</f>
        <v>1500</v>
      </c>
      <c r="G12" s="21" t="n">
        <f aca="false">Assumptions!$C$18</f>
        <v>1500</v>
      </c>
      <c r="H12" s="21" t="n">
        <f aca="false">Assumptions!$C$18</f>
        <v>1500</v>
      </c>
      <c r="I12" s="21" t="n">
        <f aca="false">Assumptions!$C$18</f>
        <v>1500</v>
      </c>
      <c r="J12" s="21" t="n">
        <f aca="false">Assumptions!$C$18</f>
        <v>1500</v>
      </c>
      <c r="K12" s="21" t="n">
        <f aca="false">Assumptions!$C$18</f>
        <v>1500</v>
      </c>
      <c r="L12" s="21" t="n">
        <f aca="false">Assumptions!$C$18</f>
        <v>1500</v>
      </c>
      <c r="M12" s="21" t="n">
        <f aca="false">Assumptions!$C$18</f>
        <v>1500</v>
      </c>
      <c r="N12" s="21" t="n">
        <f aca="false">SUM(B12:M12)</f>
        <v>18000</v>
      </c>
      <c r="O12" s="21" t="n">
        <f aca="false">Assumptions!$C$18*12*(1+Assumptions!$C$25)</f>
        <v>18900</v>
      </c>
      <c r="P12" s="21" t="n">
        <f aca="false">Assumptions!$C$18*12*(1+Assumptions!$C$25)^2</f>
        <v>19845</v>
      </c>
    </row>
    <row r="13" customFormat="false" ht="15" hidden="false" customHeight="false" outlineLevel="0" collapsed="false">
      <c r="A13" s="10" t="s">
        <v>35</v>
      </c>
      <c r="B13" s="21" t="n">
        <f aca="false">Assumptions!$C$19</f>
        <v>3200</v>
      </c>
      <c r="C13" s="21" t="n">
        <f aca="false">Assumptions!$C$19</f>
        <v>3200</v>
      </c>
      <c r="D13" s="21" t="n">
        <f aca="false">Assumptions!$C$19</f>
        <v>3200</v>
      </c>
      <c r="E13" s="21" t="n">
        <f aca="false">Assumptions!$C$19</f>
        <v>3200</v>
      </c>
      <c r="F13" s="21" t="n">
        <f aca="false">Assumptions!$C$19</f>
        <v>3200</v>
      </c>
      <c r="G13" s="21" t="n">
        <f aca="false">Assumptions!$C$19</f>
        <v>3200</v>
      </c>
      <c r="H13" s="21" t="n">
        <f aca="false">Assumptions!$C$19</f>
        <v>3200</v>
      </c>
      <c r="I13" s="21" t="n">
        <f aca="false">Assumptions!$C$19</f>
        <v>3200</v>
      </c>
      <c r="J13" s="21" t="n">
        <f aca="false">Assumptions!$C$19</f>
        <v>3200</v>
      </c>
      <c r="K13" s="21" t="n">
        <f aca="false">Assumptions!$C$19</f>
        <v>3200</v>
      </c>
      <c r="L13" s="21" t="n">
        <f aca="false">Assumptions!$C$19</f>
        <v>3200</v>
      </c>
      <c r="M13" s="21" t="n">
        <f aca="false">Assumptions!$C$19</f>
        <v>3200</v>
      </c>
      <c r="N13" s="21" t="n">
        <f aca="false">SUM(B13:M13)</f>
        <v>38400</v>
      </c>
      <c r="O13" s="21" t="n">
        <f aca="false">Assumptions!$C$19*12*(1+Assumptions!$C$25)</f>
        <v>40320</v>
      </c>
      <c r="P13" s="21" t="n">
        <f aca="false">Assumptions!$C$19*12*(1+Assumptions!$C$25)^2</f>
        <v>42336</v>
      </c>
    </row>
    <row r="14" customFormat="false" ht="15" hidden="false" customHeight="false" outlineLevel="0" collapsed="false">
      <c r="A14" s="10" t="s">
        <v>36</v>
      </c>
      <c r="B14" s="21" t="n">
        <f aca="false">Assumptions!$C$20</f>
        <v>250</v>
      </c>
      <c r="C14" s="21" t="n">
        <f aca="false">Assumptions!$C$20</f>
        <v>250</v>
      </c>
      <c r="D14" s="21" t="n">
        <f aca="false">Assumptions!$C$20</f>
        <v>250</v>
      </c>
      <c r="E14" s="21" t="n">
        <f aca="false">Assumptions!$C$20</f>
        <v>250</v>
      </c>
      <c r="F14" s="21" t="n">
        <f aca="false">Assumptions!$C$20</f>
        <v>250</v>
      </c>
      <c r="G14" s="21" t="n">
        <f aca="false">Assumptions!$C$20</f>
        <v>250</v>
      </c>
      <c r="H14" s="21" t="n">
        <f aca="false">Assumptions!$C$20</f>
        <v>250</v>
      </c>
      <c r="I14" s="21" t="n">
        <f aca="false">Assumptions!$C$20</f>
        <v>250</v>
      </c>
      <c r="J14" s="21" t="n">
        <f aca="false">Assumptions!$C$20</f>
        <v>250</v>
      </c>
      <c r="K14" s="21" t="n">
        <f aca="false">Assumptions!$C$20</f>
        <v>250</v>
      </c>
      <c r="L14" s="21" t="n">
        <f aca="false">Assumptions!$C$20</f>
        <v>250</v>
      </c>
      <c r="M14" s="21" t="n">
        <f aca="false">Assumptions!$C$20</f>
        <v>250</v>
      </c>
      <c r="N14" s="21" t="n">
        <f aca="false">SUM(B14:M14)</f>
        <v>3000</v>
      </c>
      <c r="O14" s="21" t="n">
        <f aca="false">Assumptions!$C$20*12*(1+Assumptions!$C$25)</f>
        <v>3150</v>
      </c>
      <c r="P14" s="21" t="n">
        <f aca="false">Assumptions!$C$20*12*(1+Assumptions!$C$25)^2</f>
        <v>3307.5</v>
      </c>
    </row>
    <row r="15" customFormat="false" ht="15" hidden="false" customHeight="false" outlineLevel="0" collapsed="false">
      <c r="A15" s="10" t="s">
        <v>37</v>
      </c>
      <c r="B15" s="21" t="n">
        <f aca="false">Assumptions!$C$21</f>
        <v>180</v>
      </c>
      <c r="C15" s="21" t="n">
        <f aca="false">Assumptions!$C$21</f>
        <v>180</v>
      </c>
      <c r="D15" s="21" t="n">
        <f aca="false">Assumptions!$C$21</f>
        <v>180</v>
      </c>
      <c r="E15" s="21" t="n">
        <f aca="false">Assumptions!$C$21</f>
        <v>180</v>
      </c>
      <c r="F15" s="21" t="n">
        <f aca="false">Assumptions!$C$21</f>
        <v>180</v>
      </c>
      <c r="G15" s="21" t="n">
        <f aca="false">Assumptions!$C$21</f>
        <v>180</v>
      </c>
      <c r="H15" s="21" t="n">
        <f aca="false">Assumptions!$C$21</f>
        <v>180</v>
      </c>
      <c r="I15" s="21" t="n">
        <f aca="false">Assumptions!$C$21</f>
        <v>180</v>
      </c>
      <c r="J15" s="21" t="n">
        <f aca="false">Assumptions!$C$21</f>
        <v>180</v>
      </c>
      <c r="K15" s="21" t="n">
        <f aca="false">Assumptions!$C$21</f>
        <v>180</v>
      </c>
      <c r="L15" s="21" t="n">
        <f aca="false">Assumptions!$C$21</f>
        <v>180</v>
      </c>
      <c r="M15" s="21" t="n">
        <f aca="false">Assumptions!$C$21</f>
        <v>180</v>
      </c>
      <c r="N15" s="21" t="n">
        <f aca="false">SUM(B15:M15)</f>
        <v>2160</v>
      </c>
      <c r="O15" s="21" t="n">
        <f aca="false">Assumptions!$C$21*12*(1+Assumptions!$C$25)</f>
        <v>2268</v>
      </c>
      <c r="P15" s="21" t="n">
        <f aca="false">Assumptions!$C$21*12*(1+Assumptions!$C$25)^2</f>
        <v>2381.4</v>
      </c>
    </row>
    <row r="16" customFormat="false" ht="15" hidden="false" customHeight="false" outlineLevel="0" collapsed="false">
      <c r="A16" s="10" t="s">
        <v>38</v>
      </c>
      <c r="B16" s="21" t="n">
        <f aca="false">Assumptions!$C$22</f>
        <v>220</v>
      </c>
      <c r="C16" s="21" t="n">
        <f aca="false">Assumptions!$C$22</f>
        <v>220</v>
      </c>
      <c r="D16" s="21" t="n">
        <f aca="false">Assumptions!$C$22</f>
        <v>220</v>
      </c>
      <c r="E16" s="21" t="n">
        <f aca="false">Assumptions!$C$22</f>
        <v>220</v>
      </c>
      <c r="F16" s="21" t="n">
        <f aca="false">Assumptions!$C$22</f>
        <v>220</v>
      </c>
      <c r="G16" s="21" t="n">
        <f aca="false">Assumptions!$C$22</f>
        <v>220</v>
      </c>
      <c r="H16" s="21" t="n">
        <f aca="false">Assumptions!$C$22</f>
        <v>220</v>
      </c>
      <c r="I16" s="21" t="n">
        <f aca="false">Assumptions!$C$22</f>
        <v>220</v>
      </c>
      <c r="J16" s="21" t="n">
        <f aca="false">Assumptions!$C$22</f>
        <v>220</v>
      </c>
      <c r="K16" s="21" t="n">
        <f aca="false">Assumptions!$C$22</f>
        <v>220</v>
      </c>
      <c r="L16" s="21" t="n">
        <f aca="false">Assumptions!$C$22</f>
        <v>220</v>
      </c>
      <c r="M16" s="21" t="n">
        <f aca="false">Assumptions!$C$22</f>
        <v>220</v>
      </c>
      <c r="N16" s="21" t="n">
        <f aca="false">SUM(B16:M16)</f>
        <v>2640</v>
      </c>
      <c r="O16" s="21" t="n">
        <f aca="false">Assumptions!$C$22*12*(1+Assumptions!$C$25)</f>
        <v>2772</v>
      </c>
      <c r="P16" s="21" t="n">
        <f aca="false">Assumptions!$C$22*12*(1+Assumptions!$C$25)^2</f>
        <v>2910.6</v>
      </c>
    </row>
    <row r="17" customFormat="false" ht="15" hidden="false" customHeight="false" outlineLevel="0" collapsed="false">
      <c r="A17" s="10" t="s">
        <v>39</v>
      </c>
      <c r="B17" s="21" t="n">
        <f aca="false">Assumptions!$C$23</f>
        <v>300</v>
      </c>
      <c r="C17" s="21" t="n">
        <f aca="false">Assumptions!$C$23</f>
        <v>300</v>
      </c>
      <c r="D17" s="21" t="n">
        <f aca="false">Assumptions!$C$23</f>
        <v>300</v>
      </c>
      <c r="E17" s="21" t="n">
        <f aca="false">Assumptions!$C$23</f>
        <v>300</v>
      </c>
      <c r="F17" s="21" t="n">
        <f aca="false">Assumptions!$C$23</f>
        <v>300</v>
      </c>
      <c r="G17" s="21" t="n">
        <f aca="false">Assumptions!$C$23</f>
        <v>300</v>
      </c>
      <c r="H17" s="21" t="n">
        <f aca="false">Assumptions!$C$23</f>
        <v>300</v>
      </c>
      <c r="I17" s="21" t="n">
        <f aca="false">Assumptions!$C$23</f>
        <v>300</v>
      </c>
      <c r="J17" s="21" t="n">
        <f aca="false">Assumptions!$C$23</f>
        <v>300</v>
      </c>
      <c r="K17" s="21" t="n">
        <f aca="false">Assumptions!$C$23</f>
        <v>300</v>
      </c>
      <c r="L17" s="21" t="n">
        <f aca="false">Assumptions!$C$23</f>
        <v>300</v>
      </c>
      <c r="M17" s="21" t="n">
        <f aca="false">Assumptions!$C$23</f>
        <v>300</v>
      </c>
      <c r="N17" s="21" t="n">
        <f aca="false">SUM(B17:M17)</f>
        <v>3600</v>
      </c>
      <c r="O17" s="21" t="n">
        <f aca="false">Assumptions!$C$23*12*(1+Assumptions!$C$25)</f>
        <v>3780</v>
      </c>
      <c r="P17" s="21" t="n">
        <f aca="false">Assumptions!$C$23*12*(1+Assumptions!$C$25)^2</f>
        <v>3969</v>
      </c>
    </row>
    <row r="18" customFormat="false" ht="15" hidden="false" customHeight="false" outlineLevel="0" collapsed="false">
      <c r="A18" s="10" t="s">
        <v>40</v>
      </c>
      <c r="B18" s="21" t="n">
        <f aca="false">Assumptions!$C$24</f>
        <v>400</v>
      </c>
      <c r="C18" s="21" t="n">
        <f aca="false">Assumptions!$C$24</f>
        <v>400</v>
      </c>
      <c r="D18" s="21" t="n">
        <f aca="false">Assumptions!$C$24</f>
        <v>400</v>
      </c>
      <c r="E18" s="21" t="n">
        <f aca="false">Assumptions!$C$24</f>
        <v>400</v>
      </c>
      <c r="F18" s="21" t="n">
        <f aca="false">Assumptions!$C$24</f>
        <v>400</v>
      </c>
      <c r="G18" s="21" t="n">
        <f aca="false">Assumptions!$C$24</f>
        <v>400</v>
      </c>
      <c r="H18" s="21" t="n">
        <f aca="false">Assumptions!$C$24</f>
        <v>400</v>
      </c>
      <c r="I18" s="21" t="n">
        <f aca="false">Assumptions!$C$24</f>
        <v>400</v>
      </c>
      <c r="J18" s="21" t="n">
        <f aca="false">Assumptions!$C$24</f>
        <v>400</v>
      </c>
      <c r="K18" s="21" t="n">
        <f aca="false">Assumptions!$C$24</f>
        <v>400</v>
      </c>
      <c r="L18" s="21" t="n">
        <f aca="false">Assumptions!$C$24</f>
        <v>400</v>
      </c>
      <c r="M18" s="21" t="n">
        <f aca="false">Assumptions!$C$24</f>
        <v>400</v>
      </c>
      <c r="N18" s="21" t="n">
        <f aca="false">SUM(B18:M18)</f>
        <v>4800</v>
      </c>
      <c r="O18" s="21" t="n">
        <f aca="false">Assumptions!$C$24*12*(1+Assumptions!$C$25)</f>
        <v>5040</v>
      </c>
      <c r="P18" s="21" t="n">
        <f aca="false">Assumptions!$C$24*12*(1+Assumptions!$C$25)^2</f>
        <v>5292</v>
      </c>
    </row>
    <row r="19" customFormat="false" ht="15" hidden="false" customHeight="false" outlineLevel="0" collapsed="false">
      <c r="A19" s="19" t="s">
        <v>55</v>
      </c>
      <c r="B19" s="20" t="n">
        <f aca="false">SUM(B11:B18)</f>
        <v>6690</v>
      </c>
      <c r="C19" s="20" t="n">
        <f aca="false">SUM(C11:C18)</f>
        <v>6715.6</v>
      </c>
      <c r="D19" s="20" t="n">
        <f aca="false">SUM(D11:D18)</f>
        <v>6742.224</v>
      </c>
      <c r="E19" s="20" t="n">
        <f aca="false">SUM(E11:E18)</f>
        <v>6769.91296</v>
      </c>
      <c r="F19" s="20" t="n">
        <f aca="false">SUM(F11:F18)</f>
        <v>6798.7094784</v>
      </c>
      <c r="G19" s="20" t="n">
        <f aca="false">SUM(G11:G18)</f>
        <v>6828.657857536</v>
      </c>
      <c r="H19" s="20" t="n">
        <f aca="false">SUM(H11:H18)</f>
        <v>6859.80417183744</v>
      </c>
      <c r="I19" s="20" t="n">
        <f aca="false">SUM(I11:I18)</f>
        <v>6892.19633871094</v>
      </c>
      <c r="J19" s="20" t="n">
        <f aca="false">SUM(J11:J18)</f>
        <v>6925.88419225938</v>
      </c>
      <c r="K19" s="20" t="n">
        <f aca="false">SUM(K11:K18)</f>
        <v>6960.91955994975</v>
      </c>
      <c r="L19" s="20" t="n">
        <f aca="false">SUM(L11:L18)</f>
        <v>6997.35634234774</v>
      </c>
      <c r="M19" s="20" t="n">
        <f aca="false">SUM(M11:M18)</f>
        <v>7035.25059604165</v>
      </c>
      <c r="N19" s="20" t="n">
        <f aca="false">SUM(B19:M19)</f>
        <v>82216.5154970829</v>
      </c>
      <c r="O19" s="20" t="n">
        <f aca="false">SUM(O11:O18)</f>
        <v>88250.6443713536</v>
      </c>
      <c r="P19" s="20" t="n">
        <f aca="false">SUM(P11:P18)</f>
        <v>94466.2732456243</v>
      </c>
    </row>
    <row r="20" customFormat="false" ht="15" hidden="false" customHeight="false" outlineLevel="0" collapsed="false">
      <c r="A20" s="19" t="s">
        <v>56</v>
      </c>
      <c r="B20" s="20" t="n">
        <f aca="false">B8-B19</f>
        <v>-1490</v>
      </c>
      <c r="C20" s="20" t="n">
        <f aca="false">C8-C19</f>
        <v>-1307.6</v>
      </c>
      <c r="D20" s="20" t="n">
        <f aca="false">D8-D19</f>
        <v>-1117.904</v>
      </c>
      <c r="E20" s="20" t="n">
        <f aca="false">E8-E19</f>
        <v>-920.62016</v>
      </c>
      <c r="F20" s="20" t="n">
        <f aca="false">F8-F19</f>
        <v>-715.444966399999</v>
      </c>
      <c r="G20" s="20" t="n">
        <f aca="false">G8-G19</f>
        <v>-502.062765055999</v>
      </c>
      <c r="H20" s="20" t="n">
        <f aca="false">H8-H19</f>
        <v>-280.145275658238</v>
      </c>
      <c r="I20" s="20" t="n">
        <f aca="false">I8-I19</f>
        <v>-49.3510866845691</v>
      </c>
      <c r="J20" s="20" t="n">
        <f aca="false">J8-J19</f>
        <v>190.674869848049</v>
      </c>
      <c r="K20" s="20" t="n">
        <f aca="false">K8-K19</f>
        <v>440.301864641971</v>
      </c>
      <c r="L20" s="20" t="n">
        <f aca="false">L8-L19</f>
        <v>699.91393922765</v>
      </c>
      <c r="M20" s="20" t="n">
        <f aca="false">M8-M19</f>
        <v>969.910496796758</v>
      </c>
      <c r="N20" s="20" t="n">
        <f aca="false">SUM(B20:M20)</f>
        <v>-4082.32708328438</v>
      </c>
      <c r="O20" s="20" t="n">
        <f aca="false">O8-O19</f>
        <v>9417.09114589455</v>
      </c>
      <c r="P20" s="20" t="n">
        <f aca="false">P8-P19</f>
        <v>22735.0093750734</v>
      </c>
    </row>
    <row r="21" customFormat="false" ht="15" hidden="false" customHeight="false" outlineLevel="0" collapsed="false">
      <c r="A21" s="9" t="s">
        <v>57</v>
      </c>
    </row>
    <row r="22" customFormat="false" ht="15" hidden="false" customHeight="false" outlineLevel="0" collapsed="false">
      <c r="A22" s="10" t="s">
        <v>58</v>
      </c>
      <c r="B22" s="21" t="n">
        <f aca="false">Assumptions!$C$28/12</f>
        <v>150</v>
      </c>
      <c r="C22" s="21" t="n">
        <f aca="false">Assumptions!$C$28/12</f>
        <v>150</v>
      </c>
      <c r="D22" s="21" t="n">
        <f aca="false">Assumptions!$C$28/12</f>
        <v>150</v>
      </c>
      <c r="E22" s="21" t="n">
        <f aca="false">Assumptions!$C$28/12</f>
        <v>150</v>
      </c>
      <c r="F22" s="21" t="n">
        <f aca="false">Assumptions!$C$28/12</f>
        <v>150</v>
      </c>
      <c r="G22" s="21" t="n">
        <f aca="false">Assumptions!$C$28/12</f>
        <v>150</v>
      </c>
      <c r="H22" s="21" t="n">
        <f aca="false">Assumptions!$C$28/12</f>
        <v>150</v>
      </c>
      <c r="I22" s="21" t="n">
        <f aca="false">Assumptions!$C$28/12</f>
        <v>150</v>
      </c>
      <c r="J22" s="21" t="n">
        <f aca="false">Assumptions!$C$28/12</f>
        <v>150</v>
      </c>
      <c r="K22" s="21" t="n">
        <f aca="false">Assumptions!$C$28/12</f>
        <v>150</v>
      </c>
      <c r="L22" s="21" t="n">
        <f aca="false">Assumptions!$C$28/12</f>
        <v>150</v>
      </c>
      <c r="M22" s="21" t="n">
        <f aca="false">Assumptions!$C$28/12</f>
        <v>150</v>
      </c>
      <c r="N22" s="21" t="n">
        <f aca="false">SUM(B22:M22)</f>
        <v>1800</v>
      </c>
      <c r="O22" s="21" t="n">
        <f aca="false">Assumptions!$C$28</f>
        <v>1800</v>
      </c>
      <c r="P22" s="21" t="n">
        <f aca="false">Assumptions!$C$28</f>
        <v>1800</v>
      </c>
    </row>
    <row r="23" customFormat="false" ht="15" hidden="false" customHeight="false" outlineLevel="0" collapsed="false">
      <c r="A23" s="10" t="s">
        <v>59</v>
      </c>
      <c r="B23" s="21" t="n">
        <f aca="false">Assumptions!$C$29/12</f>
        <v>200</v>
      </c>
      <c r="C23" s="21" t="n">
        <f aca="false">Assumptions!$C$29/12</f>
        <v>200</v>
      </c>
      <c r="D23" s="21" t="n">
        <f aca="false">Assumptions!$C$29/12</f>
        <v>200</v>
      </c>
      <c r="E23" s="21" t="n">
        <f aca="false">Assumptions!$C$29/12</f>
        <v>200</v>
      </c>
      <c r="F23" s="21" t="n">
        <f aca="false">Assumptions!$C$29/12</f>
        <v>200</v>
      </c>
      <c r="G23" s="21" t="n">
        <f aca="false">Assumptions!$C$29/12</f>
        <v>200</v>
      </c>
      <c r="H23" s="21" t="n">
        <f aca="false">Assumptions!$C$29/12</f>
        <v>200</v>
      </c>
      <c r="I23" s="21" t="n">
        <f aca="false">Assumptions!$C$29/12</f>
        <v>200</v>
      </c>
      <c r="J23" s="21" t="n">
        <f aca="false">Assumptions!$C$29/12</f>
        <v>200</v>
      </c>
      <c r="K23" s="21" t="n">
        <f aca="false">Assumptions!$C$29/12</f>
        <v>200</v>
      </c>
      <c r="L23" s="21" t="n">
        <f aca="false">Assumptions!$C$29/12</f>
        <v>200</v>
      </c>
      <c r="M23" s="21" t="n">
        <f aca="false">Assumptions!$C$29/12</f>
        <v>200</v>
      </c>
      <c r="N23" s="21" t="n">
        <f aca="false">SUM(B23:M23)</f>
        <v>2400</v>
      </c>
      <c r="O23" s="21" t="n">
        <f aca="false">Assumptions!$C$29</f>
        <v>2400</v>
      </c>
      <c r="P23" s="21" t="n">
        <f aca="false">Assumptions!$C$29</f>
        <v>2400</v>
      </c>
    </row>
    <row r="24" customFormat="false" ht="15" hidden="false" customHeight="false" outlineLevel="0" collapsed="false">
      <c r="A24" s="19" t="s">
        <v>60</v>
      </c>
      <c r="B24" s="20" t="n">
        <f aca="false">B20-B22-B23</f>
        <v>-1840</v>
      </c>
      <c r="C24" s="20" t="n">
        <f aca="false">C20-C22-C23</f>
        <v>-1657.6</v>
      </c>
      <c r="D24" s="20" t="n">
        <f aca="false">D20-D22-D23</f>
        <v>-1467.904</v>
      </c>
      <c r="E24" s="20" t="n">
        <f aca="false">E20-E22-E23</f>
        <v>-1270.62016</v>
      </c>
      <c r="F24" s="20" t="n">
        <f aca="false">F20-F22-F23</f>
        <v>-1065.4449664</v>
      </c>
      <c r="G24" s="20" t="n">
        <f aca="false">G20-G22-G23</f>
        <v>-852.062765055999</v>
      </c>
      <c r="H24" s="20" t="n">
        <f aca="false">H20-H22-H23</f>
        <v>-630.145275658239</v>
      </c>
      <c r="I24" s="20" t="n">
        <f aca="false">I20-I22-I23</f>
        <v>-399.351086684569</v>
      </c>
      <c r="J24" s="20" t="n">
        <f aca="false">J20-J22-J23</f>
        <v>-159.325130151951</v>
      </c>
      <c r="K24" s="20" t="n">
        <f aca="false">K20-K22-K23</f>
        <v>90.3018646419714</v>
      </c>
      <c r="L24" s="20" t="n">
        <f aca="false">L20-L22-L23</f>
        <v>349.91393922765</v>
      </c>
      <c r="M24" s="20" t="n">
        <f aca="false">M20-M22-M23</f>
        <v>619.910496796758</v>
      </c>
      <c r="N24" s="20" t="n">
        <f aca="false">SUM(B24:M24)</f>
        <v>-8282.32708328438</v>
      </c>
      <c r="O24" s="20" t="n">
        <f aca="false">O20-O22-O23</f>
        <v>5217.09114589455</v>
      </c>
      <c r="P24" s="20" t="n">
        <f aca="false">P20-P22-P23</f>
        <v>18535.0093750734</v>
      </c>
    </row>
    <row r="25" customFormat="false" ht="15" hidden="false" customHeight="false" outlineLevel="0" collapsed="false">
      <c r="A25" s="10" t="s">
        <v>61</v>
      </c>
      <c r="B25" s="21" t="n">
        <f aca="false">MAX(0,$N$24)*Assumptions!$C$30/12</f>
        <v>0</v>
      </c>
      <c r="C25" s="21" t="n">
        <f aca="false">MAX(0,$N$24)*Assumptions!$C$30/12</f>
        <v>0</v>
      </c>
      <c r="D25" s="21" t="n">
        <f aca="false">MAX(0,$N$24)*Assumptions!$C$30/12</f>
        <v>0</v>
      </c>
      <c r="E25" s="21" t="n">
        <f aca="false">MAX(0,$N$24)*Assumptions!$C$30/12</f>
        <v>0</v>
      </c>
      <c r="F25" s="21" t="n">
        <f aca="false">MAX(0,$N$24)*Assumptions!$C$30/12</f>
        <v>0</v>
      </c>
      <c r="G25" s="21" t="n">
        <f aca="false">MAX(0,$N$24)*Assumptions!$C$30/12</f>
        <v>0</v>
      </c>
      <c r="H25" s="21" t="n">
        <f aca="false">MAX(0,$N$24)*Assumptions!$C$30/12</f>
        <v>0</v>
      </c>
      <c r="I25" s="21" t="n">
        <f aca="false">MAX(0,$N$24)*Assumptions!$C$30/12</f>
        <v>0</v>
      </c>
      <c r="J25" s="21" t="n">
        <f aca="false">MAX(0,$N$24)*Assumptions!$C$30/12</f>
        <v>0</v>
      </c>
      <c r="K25" s="21" t="n">
        <f aca="false">MAX(0,$N$24)*Assumptions!$C$30/12</f>
        <v>0</v>
      </c>
      <c r="L25" s="21" t="n">
        <f aca="false">MAX(0,$N$24)*Assumptions!$C$30/12</f>
        <v>0</v>
      </c>
      <c r="M25" s="21" t="n">
        <f aca="false">MAX(0,$N$24)*Assumptions!$C$30/12</f>
        <v>0</v>
      </c>
      <c r="N25" s="21" t="n">
        <f aca="false">MAX(0,N24)*Assumptions!$C$30</f>
        <v>0</v>
      </c>
      <c r="O25" s="21" t="n">
        <f aca="false">MAX(0,O24)*Assumptions!$C$30</f>
        <v>1095.58914063786</v>
      </c>
      <c r="P25" s="21" t="n">
        <f aca="false">MAX(0,P24)*Assumptions!$C$30</f>
        <v>3892.35196876542</v>
      </c>
    </row>
    <row r="26" customFormat="false" ht="15" hidden="false" customHeight="false" outlineLevel="0" collapsed="false">
      <c r="A26" s="23" t="s">
        <v>62</v>
      </c>
      <c r="B26" s="24" t="n">
        <f aca="false">B24-B25</f>
        <v>-1840</v>
      </c>
      <c r="C26" s="24" t="n">
        <f aca="false">C24-C25</f>
        <v>-1657.6</v>
      </c>
      <c r="D26" s="24" t="n">
        <f aca="false">D24-D25</f>
        <v>-1467.904</v>
      </c>
      <c r="E26" s="24" t="n">
        <f aca="false">E24-E25</f>
        <v>-1270.62016</v>
      </c>
      <c r="F26" s="24" t="n">
        <f aca="false">F24-F25</f>
        <v>-1065.4449664</v>
      </c>
      <c r="G26" s="24" t="n">
        <f aca="false">G24-G25</f>
        <v>-852.062765055999</v>
      </c>
      <c r="H26" s="24" t="n">
        <f aca="false">H24-H25</f>
        <v>-630.145275658239</v>
      </c>
      <c r="I26" s="24" t="n">
        <f aca="false">I24-I25</f>
        <v>-399.351086684569</v>
      </c>
      <c r="J26" s="24" t="n">
        <f aca="false">J24-J25</f>
        <v>-159.325130151951</v>
      </c>
      <c r="K26" s="24" t="n">
        <f aca="false">K24-K25</f>
        <v>90.3018646419714</v>
      </c>
      <c r="L26" s="24" t="n">
        <f aca="false">L24-L25</f>
        <v>349.91393922765</v>
      </c>
      <c r="M26" s="24" t="n">
        <f aca="false">M24-M25</f>
        <v>619.910496796758</v>
      </c>
      <c r="N26" s="24" t="n">
        <f aca="false">N24-N25</f>
        <v>-8282.32708328438</v>
      </c>
      <c r="O26" s="24" t="n">
        <f aca="false">O24-O25</f>
        <v>4121.50200525669</v>
      </c>
      <c r="P26" s="24" t="n">
        <f aca="false">P24-P25</f>
        <v>14642.657406308</v>
      </c>
    </row>
    <row r="27" customFormat="false" ht="15" hidden="false" customHeight="false" outlineLevel="0" collapsed="false">
      <c r="A27" s="10" t="s">
        <v>63</v>
      </c>
      <c r="B27" s="22" t="n">
        <f aca="false">IF(B6=0,0,B26/B6)</f>
        <v>-0.23</v>
      </c>
      <c r="C27" s="22" t="n">
        <f aca="false">IF(C6=0,0,C26/C6)</f>
        <v>-0.199230769230769</v>
      </c>
      <c r="D27" s="22" t="n">
        <f aca="false">IF(D6=0,0,D26/D6)</f>
        <v>-0.169644970414201</v>
      </c>
      <c r="E27" s="22" t="n">
        <f aca="false">IF(E6=0,0,E26/E6)</f>
        <v>-0.141197086936732</v>
      </c>
      <c r="F27" s="22" t="n">
        <f aca="false">IF(F6=0,0,F26/F6)</f>
        <v>-0.113843352823781</v>
      </c>
      <c r="G27" s="22" t="n">
        <f aca="false">IF(G6=0,0,G26/G6)</f>
        <v>-0.0875416854074813</v>
      </c>
      <c r="H27" s="22" t="n">
        <f aca="false">IF(H6=0,0,H26/H6)</f>
        <v>-0.0622516205841166</v>
      </c>
      <c r="I27" s="22" t="n">
        <f aca="false">IF(I6=0,0,I26/I6)</f>
        <v>-0.0379342505616507</v>
      </c>
      <c r="J27" s="22" t="n">
        <f aca="false">IF(J6=0,0,J26/J6)</f>
        <v>-0.0145521640015871</v>
      </c>
      <c r="K27" s="22" t="n">
        <f aca="false">IF(K6=0,0,K26/K6)</f>
        <v>0.00793061153693551</v>
      </c>
      <c r="L27" s="22" t="n">
        <f aca="false">IF(L6=0,0,L26/L6)</f>
        <v>0.0295486649393611</v>
      </c>
      <c r="M27" s="22" t="n">
        <f aca="false">IF(M6=0,0,M26/M6)</f>
        <v>0.0503352547493858</v>
      </c>
      <c r="N27" s="22" t="n">
        <f aca="false">IF(N6=0,0,N26/N6)</f>
        <v>-0.0689008577861432</v>
      </c>
      <c r="O27" s="22" t="n">
        <f aca="false">IF(O6=0,0,O26/O6)</f>
        <v>0.0274294913179772</v>
      </c>
      <c r="P27" s="22" t="n">
        <f aca="false">IF(P6=0,0,P26/P6)</f>
        <v>0.0812083886906147</v>
      </c>
    </row>
    <row r="29" customFormat="false" ht="15" hidden="false" customHeight="false" outlineLevel="0" collapsed="false">
      <c r="A29" s="19" t="s">
        <v>64</v>
      </c>
      <c r="B29" s="25" t="str">
        <f aca="false">IF(MIN(B69:M69)=99,"Not in year 1",INDEX($B$4:$M$4,MIN(B69:M69)))</f>
        <v>Sep 27</v>
      </c>
      <c r="C29" s="25"/>
      <c r="D29" s="25"/>
    </row>
    <row r="30" customFormat="false" ht="15" hidden="false" customHeight="false" outlineLevel="0" collapsed="false">
      <c r="A30" s="19" t="s">
        <v>65</v>
      </c>
      <c r="B30" s="26" t="n">
        <f aca="false">IF(1-Assumptions!$C$14-Assumptions!$C$15&lt;=0,"Never - costs take all revenue",SUM(Assumptions!$C$18,Assumptions!$C$19,Assumptions!$C$20,Assumptions!$C$21,Assumptions!$C$22,Assumptions!$C$23,Assumptions!$C$24)/(1-Assumptions!$C$14-Assumptions!$C$15))</f>
        <v>10614.0350877193</v>
      </c>
      <c r="C30" s="26"/>
      <c r="D30" s="26"/>
      <c r="E30" s="13" t="s">
        <v>66</v>
      </c>
    </row>
    <row r="32" customFormat="false" ht="15" hidden="false" customHeight="false" outlineLevel="0" collapsed="false">
      <c r="A32" s="8" t="s">
        <v>67</v>
      </c>
    </row>
    <row r="69" customFormat="false" ht="15" hidden="true" customHeight="false" outlineLevel="0" collapsed="false">
      <c r="B69" s="0" t="n">
        <f aca="false">IF(B20&gt;0,1,99)</f>
        <v>99</v>
      </c>
      <c r="C69" s="0" t="n">
        <f aca="false">IF(C20&gt;0,2,99)</f>
        <v>99</v>
      </c>
      <c r="D69" s="0" t="n">
        <f aca="false">IF(D20&gt;0,3,99)</f>
        <v>99</v>
      </c>
      <c r="E69" s="0" t="n">
        <f aca="false">IF(E20&gt;0,4,99)</f>
        <v>99</v>
      </c>
      <c r="F69" s="0" t="n">
        <f aca="false">IF(F20&gt;0,5,99)</f>
        <v>99</v>
      </c>
      <c r="G69" s="0" t="n">
        <f aca="false">IF(G20&gt;0,6,99)</f>
        <v>99</v>
      </c>
      <c r="H69" s="0" t="n">
        <f aca="false">IF(H20&gt;0,7,99)</f>
        <v>99</v>
      </c>
      <c r="I69" s="0" t="n">
        <f aca="false">IF(I20&gt;0,8,99)</f>
        <v>99</v>
      </c>
      <c r="J69" s="0" t="n">
        <f aca="false">IF(J20&gt;0,9,99)</f>
        <v>9</v>
      </c>
      <c r="K69" s="0" t="n">
        <f aca="false">IF(K20&gt;0,10,99)</f>
        <v>10</v>
      </c>
      <c r="L69" s="0" t="n">
        <f aca="false">IF(L20&gt;0,11,99)</f>
        <v>11</v>
      </c>
      <c r="M69" s="0" t="n">
        <f aca="false">IF(M20&gt;0,12,99)</f>
        <v>12</v>
      </c>
    </row>
  </sheetData>
  <mergeCells count="2">
    <mergeCell ref="B29:D29"/>
    <mergeCell ref="B30:D30"/>
  </mergeCells>
  <conditionalFormatting sqref="B26:P26">
    <cfRule type="cellIs" priority="2" operator="lessThan" aboveAverage="0" equalAverage="0" bottom="0" percent="0" rank="0" text="" dxfId="0">
      <formula>0</formula>
    </cfRule>
  </conditionalFormatting>
  <conditionalFormatting sqref="B20:P20">
    <cfRule type="cellIs" priority="3" operator="less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2026-10-19T18:27:28Z</dcterms:created>
  <dc:creator>Katalaga Hakim</dc:creator>
  <dc:description/>
  <dc:language>en-US</dc:language>
  <cp:lastModifiedBy/>
  <dcterms:modified xsi:type="dcterms:W3CDTF">2026-10-19T21:27:31Z</dcterms:modified>
  <cp:revision>1</cp:revision>
  <dc:subject>Free 3-year P&amp;L projection from katalaga.com/tools</dc:subject>
  <dc:title>3-Year Profit &amp; Loss Projection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